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0455" windowHeight="2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<sst xmlns="http://schemas.openxmlformats.org/spreadsheetml/2006/main" count="120" uniqueCount="91">
  <si>
    <t>Степень реализации мероприятий</t>
  </si>
  <si>
    <t>Степень соответствия фактически произведенных затрат запланированному уровню затрат на реализацию МП</t>
  </si>
  <si>
    <t>Эффективность использования средств бюджета</t>
  </si>
  <si>
    <t>Степень достижения целей и решения задач МП</t>
  </si>
  <si>
    <t>СРм = Мв / М</t>
  </si>
  <si>
    <t>Ссуз = Зф / Зп</t>
  </si>
  <si>
    <t>½</t>
  </si>
  <si>
    <t>4*3</t>
  </si>
  <si>
    <t xml:space="preserve">Медицинские кадры на территории Чебаркульского городского округа </t>
  </si>
  <si>
    <t>Природоохранные мероприятия оздоровления экологической обстановки на территории Чебаркульского городского округа</t>
  </si>
  <si>
    <t>Профилактика правонарушений на территории Чебаркульского городского округа</t>
  </si>
  <si>
    <t>Профилактика экстремизма на территории Чебаркульского городского округа</t>
  </si>
  <si>
    <t>Поддержка садоводческих и/или огороднических некоммерческих товариществ, расположенных на территории Чебаркульского городского округа</t>
  </si>
  <si>
    <t>Улучшение условий и охраны труда в Чебаркульском городском округе</t>
  </si>
  <si>
    <t>Профилактика безнадзорности и правонарушений несовершеннолетних Чебаркульского городского округа</t>
  </si>
  <si>
    <t>Развитие информационного общества на территории Чебаркульского городского округа</t>
  </si>
  <si>
    <t>Развитие муниципальной службы в Чебаркульском городском округе</t>
  </si>
  <si>
    <t>Профилактика терроризма, минимизации и (или) ликвидации последствий проявлений терроризма на территории Чебаркульского городского округа</t>
  </si>
  <si>
    <t>Развитие малого и среднего предпринимательства в монопрофильном муниципальном образовании  Чебаркульский городской округ Челябинской области</t>
  </si>
  <si>
    <t>Молодежь Чебаркуля</t>
  </si>
  <si>
    <t>Противодействие незаконному обороту и потреблению наркотиков и их прекурсоров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</si>
  <si>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</si>
  <si>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</si>
  <si>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</si>
  <si>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</si>
  <si>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</si>
  <si>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</si>
  <si>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</si>
  <si>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</si>
  <si>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</si>
  <si>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</si>
  <si>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</si>
  <si>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</si>
  <si>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</si>
  <si>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</si>
  <si>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</si>
  <si>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</si>
  <si>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Управление образования</t>
  </si>
  <si>
    <t xml:space="preserve">Развитие образования в Чебаркульском городском округе </t>
  </si>
  <si>
    <t xml:space="preserve">Поддержка и развитие дошкольного образования в Чебаркульском городском округе </t>
  </si>
  <si>
    <t xml:space="preserve">О социальной поддержке населения муниципального образования «Чебаркульский городской округ» </t>
  </si>
  <si>
    <t>Крепкая семья</t>
  </si>
  <si>
    <t>Доступная среда</t>
  </si>
  <si>
    <t>Управление культуры</t>
  </si>
  <si>
    <t>Развитие культуры в муниципальном образовании «Чебаркульский городской округ»</t>
  </si>
  <si>
    <t>Создание условий для развития туризма на территории Чебаркульского городского округа</t>
  </si>
  <si>
    <t>Финансовое управление</t>
  </si>
  <si>
    <t>Управление муниципальной собственности</t>
  </si>
  <si>
    <t>Управление жилищно-коммунального хозяйства</t>
  </si>
  <si>
    <t>Повышение безопасности дорожного движения и создание безопасных условий передвижения пешеходов в Чебаркульском городской округ</t>
  </si>
  <si>
    <t>Повышение энергетической эффективности экономики Чебаркульского городского округа и сокращение энергетических издержек в бюджетном секторе</t>
  </si>
  <si>
    <t>Формирование современной городской среды на территории Чебаркульского городского округа</t>
  </si>
  <si>
    <t>Управление по физической культуре и спорту</t>
  </si>
  <si>
    <t>Развитие физической культуры и спорта в муниципальном образовании «Чебаркульский городской округ»</t>
  </si>
  <si>
    <t>Наименование муниципальной программы</t>
  </si>
  <si>
    <t>№ п/п</t>
  </si>
  <si>
    <t>запланировано</t>
  </si>
  <si>
    <t>выполнено</t>
  </si>
  <si>
    <t>количество мероприятий</t>
  </si>
  <si>
    <t>объем бюджетных ассигнований</t>
  </si>
  <si>
    <t>степень реализации</t>
  </si>
  <si>
    <t>выделено</t>
  </si>
  <si>
    <t>кассовое исполнение</t>
  </si>
  <si>
    <t>степень соответствия</t>
  </si>
  <si>
    <t>результаты (индикаторы)</t>
  </si>
  <si>
    <t>общее количество показателей</t>
  </si>
  <si>
    <t>степень достижения</t>
  </si>
  <si>
    <t>Эффективность реализации МП</t>
  </si>
  <si>
    <t>Предоставление государственных и муниципальных услуг на территории Чебаркульского городского округа</t>
  </si>
  <si>
    <t xml:space="preserve">Ответственный исполнитель </t>
  </si>
  <si>
    <t>А</t>
  </si>
  <si>
    <t>В</t>
  </si>
  <si>
    <t>32.</t>
  </si>
  <si>
    <t>Оценка эффективности реализации муниципальных программ за 2020 год</t>
  </si>
  <si>
    <t>высокая</t>
  </si>
  <si>
    <t>средняя</t>
  </si>
  <si>
    <t>удовлетворительная</t>
  </si>
  <si>
    <t>всего</t>
  </si>
  <si>
    <t>общая сумма достижения показателей</t>
  </si>
  <si>
    <t xml:space="preserve">&gt; 0,90 - высокая,                                  &gt; 0,80 - средняя,                          &gt;0,70 удовлетворительная,                &lt;70 не удовлетворительная </t>
  </si>
  <si>
    <t>Управление социальной защиты населения</t>
  </si>
  <si>
    <t>абсолютное отклонение</t>
  </si>
  <si>
    <t>Эффективное управление муниципальной собственностью Чебаркульского ГО</t>
  </si>
  <si>
    <t>Обеспечение доступным и комфортным жильем граждан РФ в Чебаркульском ГО</t>
  </si>
  <si>
    <t>Управление муниципальными финансами и муниципальным долгом Чебаркульского ГО</t>
  </si>
  <si>
    <t>Модернизация объектов коммунальной инфраструктуры на территории Чебаркульского ГО</t>
  </si>
  <si>
    <t>Благоустройство территории Чебаркульского ГО</t>
  </si>
  <si>
    <t>Поддержка социально ориентированных некоммерческих организаций Чебаркульского ГО</t>
  </si>
  <si>
    <t>не удовлетворительная</t>
  </si>
  <si>
    <t>Администрация Чебаркульского ГО</t>
  </si>
  <si>
    <t>Обеспечение выполнения мероприятий в сфере предупреждения возникновения и развития чрезвычайных ситуаций в Чебаркульском 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</si>
</sst>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Times New Roman"/>
      <family val="1"/>
    </font>
    <font>
      <sz val="7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3" fillId="0" borderId="12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left" vertical="top" wrapText="1"/>
    </xf>
    <xf numFmtId="0" fontId="51" fillId="0" borderId="16" xfId="0" applyFont="1" applyBorder="1" applyAlignment="1">
      <alignment/>
    </xf>
    <xf numFmtId="4" fontId="49" fillId="0" borderId="16" xfId="0" applyNumberFormat="1" applyFont="1" applyBorder="1" applyAlignment="1">
      <alignment horizontal="center" vertical="top" wrapText="1"/>
    </xf>
    <xf numFmtId="164" fontId="51" fillId="0" borderId="16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3" fontId="49" fillId="0" borderId="16" xfId="0" applyNumberFormat="1" applyFont="1" applyBorder="1" applyAlignment="1">
      <alignment horizontal="center" vertical="top" wrapText="1"/>
    </xf>
    <xf numFmtId="0" fontId="51" fillId="0" borderId="10" xfId="0" applyFont="1" applyFill="1" applyBorder="1" applyAlignment="1">
      <alignment/>
    </xf>
    <xf numFmtId="3" fontId="51" fillId="0" borderId="10" xfId="0" applyNumberFormat="1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64" fontId="51" fillId="0" borderId="17" xfId="0" applyNumberFormat="1" applyFont="1" applyBorder="1" applyAlignment="1">
      <alignment horizontal="center"/>
    </xf>
    <xf numFmtId="0" fontId="51" fillId="0" borderId="18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2" fontId="56" fillId="0" borderId="17" xfId="0" applyNumberFormat="1" applyFont="1" applyBorder="1" applyAlignment="1">
      <alignment horizontal="center"/>
    </xf>
    <xf numFmtId="164" fontId="51" fillId="0" borderId="17" xfId="0" applyNumberFormat="1" applyFont="1" applyFill="1" applyBorder="1" applyAlignment="1">
      <alignment horizontal="center"/>
    </xf>
    <xf numFmtId="2" fontId="56" fillId="0" borderId="17" xfId="0" applyNumberFormat="1" applyFont="1" applyFill="1" applyBorder="1" applyAlignment="1">
      <alignment horizontal="center"/>
    </xf>
    <xf numFmtId="0" fontId="51" fillId="0" borderId="17" xfId="0" applyFont="1" applyFill="1" applyBorder="1" applyAlignment="1">
      <alignment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165" fontId="51" fillId="0" borderId="17" xfId="0" applyNumberFormat="1" applyFont="1" applyFill="1" applyBorder="1" applyAlignment="1">
      <alignment horizontal="center"/>
    </xf>
    <xf numFmtId="3" fontId="51" fillId="0" borderId="17" xfId="0" applyNumberFormat="1" applyFont="1" applyFill="1" applyBorder="1" applyAlignment="1">
      <alignment horizontal="center"/>
    </xf>
    <xf numFmtId="4" fontId="51" fillId="0" borderId="17" xfId="0" applyNumberFormat="1" applyFont="1" applyFill="1" applyBorder="1" applyAlignment="1">
      <alignment horizontal="center"/>
    </xf>
    <xf numFmtId="4" fontId="56" fillId="0" borderId="17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164" fontId="51" fillId="0" borderId="19" xfId="0" applyNumberFormat="1" applyFont="1" applyFill="1" applyBorder="1" applyAlignment="1">
      <alignment horizontal="center"/>
    </xf>
    <xf numFmtId="2" fontId="56" fillId="0" borderId="19" xfId="0" applyNumberFormat="1" applyFont="1" applyFill="1" applyBorder="1" applyAlignment="1">
      <alignment horizontal="center"/>
    </xf>
    <xf numFmtId="1" fontId="51" fillId="0" borderId="17" xfId="0" applyNumberFormat="1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/>
    </xf>
    <xf numFmtId="0" fontId="52" fillId="0" borderId="18" xfId="0" applyFont="1" applyBorder="1" applyAlignment="1">
      <alignment horizontal="left"/>
    </xf>
    <xf numFmtId="165" fontId="52" fillId="0" borderId="10" xfId="0" applyNumberFormat="1" applyFont="1" applyFill="1" applyBorder="1" applyAlignment="1">
      <alignment horizontal="center"/>
    </xf>
    <xf numFmtId="164" fontId="52" fillId="0" borderId="20" xfId="0" applyNumberFormat="1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vertical="top" wrapText="1"/>
    </xf>
    <xf numFmtId="0" fontId="51" fillId="0" borderId="19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horizontal="center"/>
    </xf>
    <xf numFmtId="2" fontId="51" fillId="0" borderId="19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 horizontal="center"/>
    </xf>
    <xf numFmtId="0" fontId="52" fillId="0" borderId="22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7" fillId="0" borderId="22" xfId="0" applyFont="1" applyBorder="1" applyAlignment="1">
      <alignment horizontal="left" wrapText="1"/>
    </xf>
    <xf numFmtId="0" fontId="52" fillId="0" borderId="15" xfId="0" applyFont="1" applyBorder="1" applyAlignment="1">
      <alignment horizontal="left"/>
    </xf>
    <xf numFmtId="0" fontId="52" fillId="0" borderId="14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justify" vertical="top" wrapText="1"/>
    </xf>
    <xf numFmtId="0" fontId="52" fillId="0" borderId="12" xfId="0" applyFont="1" applyFill="1" applyBorder="1" applyAlignment="1">
      <alignment horizontal="center"/>
    </xf>
    <xf numFmtId="165" fontId="52" fillId="0" borderId="12" xfId="0" applyNumberFormat="1" applyFont="1" applyFill="1" applyBorder="1" applyAlignment="1">
      <alignment horizontal="center"/>
    </xf>
    <xf numFmtId="164" fontId="52" fillId="0" borderId="12" xfId="0" applyNumberFormat="1" applyFont="1" applyFill="1" applyBorder="1" applyAlignment="1">
      <alignment horizontal="center"/>
    </xf>
    <xf numFmtId="2" fontId="47" fillId="0" borderId="12" xfId="0" applyNumberFormat="1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justify" vertical="top" wrapText="1"/>
    </xf>
    <xf numFmtId="0" fontId="52" fillId="0" borderId="10" xfId="0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right" wrapText="1"/>
    </xf>
    <xf numFmtId="2" fontId="47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164" fontId="52" fillId="0" borderId="26" xfId="0" applyNumberFormat="1" applyFont="1" applyFill="1" applyBorder="1" applyAlignment="1">
      <alignment horizontal="center"/>
    </xf>
    <xf numFmtId="164" fontId="52" fillId="0" borderId="27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vertical="top" wrapText="1"/>
    </xf>
    <xf numFmtId="0" fontId="52" fillId="0" borderId="19" xfId="0" applyFont="1" applyFill="1" applyBorder="1" applyAlignment="1">
      <alignment horizontal="justify" vertical="top" wrapText="1"/>
    </xf>
    <xf numFmtId="0" fontId="52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right" wrapText="1"/>
    </xf>
    <xf numFmtId="4" fontId="47" fillId="0" borderId="12" xfId="0" applyNumberFormat="1" applyFont="1" applyFill="1" applyBorder="1" applyAlignment="1">
      <alignment horizontal="right" wrapText="1"/>
    </xf>
    <xf numFmtId="4" fontId="47" fillId="0" borderId="12" xfId="0" applyNumberFormat="1" applyFont="1" applyFill="1" applyBorder="1" applyAlignment="1">
      <alignment horizontal="center" wrapText="1"/>
    </xf>
    <xf numFmtId="4" fontId="51" fillId="0" borderId="17" xfId="0" applyNumberFormat="1" applyFont="1" applyFill="1" applyBorder="1" applyAlignment="1">
      <alignment horizontal="left"/>
    </xf>
    <xf numFmtId="0" fontId="52" fillId="0" borderId="28" xfId="0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justify" vertical="top" wrapText="1"/>
    </xf>
    <xf numFmtId="0" fontId="52" fillId="0" borderId="20" xfId="0" applyFont="1" applyFill="1" applyBorder="1" applyAlignment="1">
      <alignment horizontal="center"/>
    </xf>
    <xf numFmtId="2" fontId="47" fillId="0" borderId="20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center"/>
    </xf>
    <xf numFmtId="164" fontId="55" fillId="0" borderId="11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3" fillId="0" borderId="0" xfId="0" applyFont="1" applyFill="1" applyAlignment="1">
      <alignment horizontal="justify"/>
    </xf>
    <xf numFmtId="0" fontId="57" fillId="0" borderId="15" xfId="0" applyFont="1" applyBorder="1" applyAlignment="1">
      <alignment horizontal="left" wrapText="1"/>
    </xf>
    <xf numFmtId="4" fontId="58" fillId="0" borderId="10" xfId="0" applyNumberFormat="1" applyFont="1" applyFill="1" applyBorder="1" applyAlignment="1">
      <alignment horizontal="center"/>
    </xf>
    <xf numFmtId="4" fontId="49" fillId="0" borderId="16" xfId="0" applyNumberFormat="1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right" wrapText="1"/>
    </xf>
    <xf numFmtId="4" fontId="52" fillId="0" borderId="12" xfId="0" applyNumberFormat="1" applyFont="1" applyFill="1" applyBorder="1" applyAlignment="1">
      <alignment horizontal="right" wrapText="1"/>
    </xf>
    <xf numFmtId="4" fontId="47" fillId="0" borderId="10" xfId="0" applyNumberFormat="1" applyFont="1" applyFill="1" applyBorder="1" applyAlignment="1">
      <alignment horizontal="center" wrapText="1"/>
    </xf>
    <xf numFmtId="4" fontId="52" fillId="0" borderId="20" xfId="0" applyNumberFormat="1" applyFont="1" applyFill="1" applyBorder="1" applyAlignment="1">
      <alignment horizontal="right" wrapText="1"/>
    </xf>
    <xf numFmtId="164" fontId="52" fillId="0" borderId="19" xfId="0" applyNumberFormat="1" applyFont="1" applyFill="1" applyBorder="1" applyAlignment="1">
      <alignment horizontal="center"/>
    </xf>
    <xf numFmtId="0" fontId="50" fillId="0" borderId="17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60" fillId="0" borderId="22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top" wrapText="1"/>
    </xf>
    <xf numFmtId="0" fontId="50" fillId="0" borderId="32" xfId="0" applyFont="1" applyBorder="1" applyAlignment="1">
      <alignment horizontal="center" vertical="top" wrapText="1"/>
    </xf>
    <xf numFmtId="0" fontId="50" fillId="0" borderId="33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4</xdr:row>
      <xdr:rowOff>19050</xdr:rowOff>
    </xdr:from>
    <xdr:to>
      <xdr:col>12</xdr:col>
      <xdr:colOff>476250</xdr:colOff>
      <xdr:row>4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00" y="762000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2"/>
  <sheetViews>
    <sheetView tabSelected="1" zoomScalePageLayoutView="0" workbookViewId="0" topLeftCell="A1">
      <pane ySplit="2505" topLeftCell="A7" activePane="bottomLeft" state="split"/>
      <selection pane="topLeft" activeCell="B4" sqref="B4:B5"/>
      <selection pane="bottomLeft" activeCell="E16" sqref="E16"/>
    </sheetView>
  </sheetViews>
  <sheetFormatPr defaultColWidth="9.140625" defaultRowHeight="15"/>
  <cols>
    <col min="1" max="1" width="3.7109375" style="2" customWidth="1"/>
    <col min="2" max="2" width="41.140625" style="2" customWidth="1"/>
    <col min="3" max="3" width="9.421875" style="1" customWidth="1"/>
    <col min="4" max="4" width="6.7109375" style="1" customWidth="1"/>
    <col min="5" max="5" width="8.8515625" style="1" customWidth="1"/>
    <col min="6" max="6" width="12.140625" style="1" customWidth="1"/>
    <col min="7" max="7" width="12.28125" style="1" customWidth="1"/>
    <col min="8" max="9" width="10.140625" style="1" customWidth="1"/>
    <col min="10" max="10" width="11.7109375" style="1" customWidth="1"/>
    <col min="11" max="12" width="9.00390625" style="1" customWidth="1"/>
    <col min="13" max="13" width="8.7109375" style="1" customWidth="1"/>
    <col min="14" max="14" width="7.421875" style="1" customWidth="1"/>
    <col min="15" max="15" width="14.00390625" style="16" customWidth="1"/>
  </cols>
  <sheetData>
    <row r="1" ht="8.25" customHeight="1"/>
    <row r="2" spans="1:15" ht="18.75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ht="6" customHeight="1" thickBot="1"/>
    <row r="4" spans="1:15" ht="25.5" customHeight="1">
      <c r="A4" s="105" t="s">
        <v>55</v>
      </c>
      <c r="B4" s="102" t="s">
        <v>69</v>
      </c>
      <c r="C4" s="97" t="s">
        <v>0</v>
      </c>
      <c r="D4" s="97"/>
      <c r="E4" s="97"/>
      <c r="F4" s="108" t="s">
        <v>1</v>
      </c>
      <c r="G4" s="109"/>
      <c r="H4" s="109"/>
      <c r="I4" s="110"/>
      <c r="J4" s="121" t="s">
        <v>2</v>
      </c>
      <c r="K4" s="97" t="s">
        <v>3</v>
      </c>
      <c r="L4" s="97"/>
      <c r="M4" s="97"/>
      <c r="N4" s="97" t="s">
        <v>67</v>
      </c>
      <c r="O4" s="98"/>
    </row>
    <row r="5" spans="1:15" ht="30.75" customHeight="1">
      <c r="A5" s="106"/>
      <c r="B5" s="103"/>
      <c r="C5" s="115" t="s">
        <v>4</v>
      </c>
      <c r="D5" s="115"/>
      <c r="E5" s="115"/>
      <c r="F5" s="111" t="s">
        <v>5</v>
      </c>
      <c r="G5" s="111"/>
      <c r="H5" s="111"/>
      <c r="I5" s="21"/>
      <c r="J5" s="122"/>
      <c r="K5" s="111"/>
      <c r="L5" s="111"/>
      <c r="M5" s="111"/>
      <c r="N5" s="22" t="s">
        <v>7</v>
      </c>
      <c r="O5" s="100" t="s">
        <v>79</v>
      </c>
    </row>
    <row r="6" spans="1:15" ht="15" customHeight="1">
      <c r="A6" s="106"/>
      <c r="B6" s="104" t="s">
        <v>54</v>
      </c>
      <c r="C6" s="112" t="s">
        <v>58</v>
      </c>
      <c r="D6" s="113"/>
      <c r="E6" s="114"/>
      <c r="F6" s="111" t="s">
        <v>59</v>
      </c>
      <c r="G6" s="111"/>
      <c r="H6" s="111"/>
      <c r="I6" s="111"/>
      <c r="J6" s="119" t="s">
        <v>6</v>
      </c>
      <c r="K6" s="116" t="s">
        <v>64</v>
      </c>
      <c r="L6" s="117"/>
      <c r="M6" s="118"/>
      <c r="N6" s="101"/>
      <c r="O6" s="100"/>
    </row>
    <row r="7" spans="1:15" ht="39" customHeight="1">
      <c r="A7" s="107"/>
      <c r="B7" s="103"/>
      <c r="C7" s="3" t="s">
        <v>56</v>
      </c>
      <c r="D7" s="3" t="s">
        <v>57</v>
      </c>
      <c r="E7" s="3" t="s">
        <v>60</v>
      </c>
      <c r="F7" s="21" t="s">
        <v>61</v>
      </c>
      <c r="G7" s="21" t="s">
        <v>62</v>
      </c>
      <c r="H7" s="21" t="s">
        <v>63</v>
      </c>
      <c r="I7" s="21" t="s">
        <v>81</v>
      </c>
      <c r="J7" s="120"/>
      <c r="K7" s="15" t="s">
        <v>78</v>
      </c>
      <c r="L7" s="15" t="s">
        <v>65</v>
      </c>
      <c r="M7" s="6" t="s">
        <v>66</v>
      </c>
      <c r="N7" s="101"/>
      <c r="O7" s="100"/>
    </row>
    <row r="8" spans="1:15" ht="15.75" thickBot="1">
      <c r="A8" s="9" t="s">
        <v>70</v>
      </c>
      <c r="B8" s="8" t="s">
        <v>71</v>
      </c>
      <c r="C8" s="8"/>
      <c r="D8" s="8"/>
      <c r="E8" s="10">
        <v>1</v>
      </c>
      <c r="F8" s="10"/>
      <c r="G8" s="10"/>
      <c r="H8" s="10">
        <v>2</v>
      </c>
      <c r="I8" s="10"/>
      <c r="J8" s="10">
        <v>3</v>
      </c>
      <c r="K8" s="10"/>
      <c r="L8" s="10"/>
      <c r="M8" s="10">
        <v>4</v>
      </c>
      <c r="N8" s="5">
        <v>5</v>
      </c>
      <c r="O8" s="11"/>
    </row>
    <row r="9" spans="1:15" ht="15">
      <c r="A9" s="7"/>
      <c r="B9" s="12" t="s">
        <v>89</v>
      </c>
      <c r="C9" s="17">
        <f>SUM(C10:C24)</f>
        <v>101</v>
      </c>
      <c r="D9" s="17">
        <f>SUM(D10:D24)</f>
        <v>91</v>
      </c>
      <c r="E9" s="23">
        <f aca="true" t="shared" si="0" ref="E9:E21">D9/C9</f>
        <v>0.900990099009901</v>
      </c>
      <c r="F9" s="91">
        <f>SUM(F10:F24)</f>
        <v>19774066.54</v>
      </c>
      <c r="G9" s="91">
        <f>SUM(G10:G24)</f>
        <v>19643893.8</v>
      </c>
      <c r="H9" s="14">
        <f aca="true" t="shared" si="1" ref="H9:H15">G9/F9</f>
        <v>0.9934169969673826</v>
      </c>
      <c r="I9" s="26">
        <f>F9-G9</f>
        <v>130172.73999999836</v>
      </c>
      <c r="J9" s="23">
        <f aca="true" t="shared" si="2" ref="J9:J15">E9/H9</f>
        <v>0.9069606235451634</v>
      </c>
      <c r="K9" s="13">
        <f>SUM(K10:K24)</f>
        <v>96.008</v>
      </c>
      <c r="L9" s="17">
        <f>SUM(L10:L24)</f>
        <v>102</v>
      </c>
      <c r="M9" s="23">
        <f>K9/L9</f>
        <v>0.9412549019607843</v>
      </c>
      <c r="N9" s="23">
        <f>M9*J9</f>
        <v>0.8536811327972945</v>
      </c>
      <c r="O9" s="24"/>
    </row>
    <row r="10" spans="1:15" ht="25.5">
      <c r="A10" s="62">
        <v>1</v>
      </c>
      <c r="B10" s="63" t="s">
        <v>10</v>
      </c>
      <c r="C10" s="64">
        <v>5</v>
      </c>
      <c r="D10" s="64">
        <v>5</v>
      </c>
      <c r="E10" s="49">
        <f t="shared" si="0"/>
        <v>1</v>
      </c>
      <c r="F10" s="65">
        <v>354000</v>
      </c>
      <c r="G10" s="65">
        <v>340520</v>
      </c>
      <c r="H10" s="49">
        <f t="shared" si="1"/>
        <v>0.9619209039548022</v>
      </c>
      <c r="I10" s="66">
        <f aca="true" t="shared" si="3" ref="I10:I50">F10-G10</f>
        <v>13480</v>
      </c>
      <c r="J10" s="49">
        <f t="shared" si="2"/>
        <v>1.039586514742159</v>
      </c>
      <c r="K10" s="64">
        <v>5</v>
      </c>
      <c r="L10" s="64">
        <v>5</v>
      </c>
      <c r="M10" s="49">
        <f aca="true" t="shared" si="4" ref="M10:M21">K10/L10</f>
        <v>1</v>
      </c>
      <c r="N10" s="49">
        <f aca="true" t="shared" si="5" ref="N10:N48">M10*J10</f>
        <v>1.039586514742159</v>
      </c>
      <c r="O10" s="50" t="s">
        <v>74</v>
      </c>
    </row>
    <row r="11" spans="1:15" ht="34.5">
      <c r="A11" s="62">
        <v>2</v>
      </c>
      <c r="B11" s="63" t="s">
        <v>11</v>
      </c>
      <c r="C11" s="64">
        <v>7</v>
      </c>
      <c r="D11" s="64">
        <v>5</v>
      </c>
      <c r="E11" s="49">
        <f t="shared" si="0"/>
        <v>0.7142857142857143</v>
      </c>
      <c r="F11" s="65">
        <v>20000</v>
      </c>
      <c r="G11" s="65">
        <v>20000</v>
      </c>
      <c r="H11" s="49">
        <f t="shared" si="1"/>
        <v>1</v>
      </c>
      <c r="I11" s="66">
        <f t="shared" si="3"/>
        <v>0</v>
      </c>
      <c r="J11" s="49">
        <f t="shared" si="2"/>
        <v>0.7142857142857143</v>
      </c>
      <c r="K11" s="64">
        <f>0.25+0+1+1+1+1+1+1+1+1+1.5</f>
        <v>9.75</v>
      </c>
      <c r="L11" s="64">
        <v>11</v>
      </c>
      <c r="M11" s="49">
        <f t="shared" si="4"/>
        <v>0.8863636363636364</v>
      </c>
      <c r="N11" s="49">
        <f t="shared" si="5"/>
        <v>0.6331168831168831</v>
      </c>
      <c r="O11" s="54" t="s">
        <v>88</v>
      </c>
    </row>
    <row r="12" spans="1:15" ht="38.25">
      <c r="A12" s="62">
        <v>3</v>
      </c>
      <c r="B12" s="63" t="s">
        <v>90</v>
      </c>
      <c r="C12" s="64">
        <v>6</v>
      </c>
      <c r="D12" s="64">
        <v>6</v>
      </c>
      <c r="E12" s="49">
        <f>D12/C12</f>
        <v>1</v>
      </c>
      <c r="F12" s="65">
        <v>8895843.19</v>
      </c>
      <c r="G12" s="65">
        <v>8803223.78</v>
      </c>
      <c r="H12" s="49">
        <f>G12/F12</f>
        <v>0.9895884619342081</v>
      </c>
      <c r="I12" s="66">
        <f t="shared" si="3"/>
        <v>92619.41000000015</v>
      </c>
      <c r="J12" s="49">
        <f>E12/H12</f>
        <v>1.0105210786769299</v>
      </c>
      <c r="K12" s="67">
        <v>6</v>
      </c>
      <c r="L12" s="67">
        <v>6</v>
      </c>
      <c r="M12" s="49">
        <f>K12/L12</f>
        <v>1</v>
      </c>
      <c r="N12" s="49">
        <f t="shared" si="5"/>
        <v>1.0105210786769299</v>
      </c>
      <c r="O12" s="50" t="s">
        <v>74</v>
      </c>
    </row>
    <row r="13" spans="1:15" ht="41.25" customHeight="1">
      <c r="A13" s="62">
        <v>4</v>
      </c>
      <c r="B13" s="63" t="s">
        <v>17</v>
      </c>
      <c r="C13" s="64">
        <v>5</v>
      </c>
      <c r="D13" s="64">
        <v>4</v>
      </c>
      <c r="E13" s="49">
        <f>D13/C13</f>
        <v>0.8</v>
      </c>
      <c r="F13" s="65">
        <v>60000</v>
      </c>
      <c r="G13" s="65">
        <v>59100</v>
      </c>
      <c r="H13" s="68">
        <f>G13/F13</f>
        <v>0.985</v>
      </c>
      <c r="I13" s="66">
        <f t="shared" si="3"/>
        <v>900</v>
      </c>
      <c r="J13" s="49">
        <f>E13/H13</f>
        <v>0.8121827411167514</v>
      </c>
      <c r="K13" s="64">
        <f>1+1+1+0.25+1</f>
        <v>4.25</v>
      </c>
      <c r="L13" s="64">
        <v>5</v>
      </c>
      <c r="M13" s="49">
        <f>K13/L13</f>
        <v>0.85</v>
      </c>
      <c r="N13" s="49">
        <f t="shared" si="5"/>
        <v>0.6903553299492386</v>
      </c>
      <c r="O13" s="54" t="s">
        <v>88</v>
      </c>
    </row>
    <row r="14" spans="1:15" ht="25.5">
      <c r="A14" s="62">
        <v>5</v>
      </c>
      <c r="B14" s="63" t="s">
        <v>13</v>
      </c>
      <c r="C14" s="64">
        <v>6</v>
      </c>
      <c r="D14" s="64">
        <v>5</v>
      </c>
      <c r="E14" s="49">
        <f t="shared" si="0"/>
        <v>0.8333333333333334</v>
      </c>
      <c r="F14" s="64"/>
      <c r="G14" s="64"/>
      <c r="H14" s="69"/>
      <c r="I14" s="66"/>
      <c r="J14" s="49"/>
      <c r="K14" s="42">
        <f>1+0.286+1+1+1</f>
        <v>4.286</v>
      </c>
      <c r="L14" s="64">
        <v>5</v>
      </c>
      <c r="M14" s="49">
        <f t="shared" si="4"/>
        <v>0.8572</v>
      </c>
      <c r="N14" s="49">
        <f>E14*M14</f>
        <v>0.7143333333333334</v>
      </c>
      <c r="O14" s="54" t="s">
        <v>76</v>
      </c>
    </row>
    <row r="15" spans="1:15" ht="25.5">
      <c r="A15" s="62">
        <v>6</v>
      </c>
      <c r="B15" s="63" t="s">
        <v>16</v>
      </c>
      <c r="C15" s="64">
        <v>5</v>
      </c>
      <c r="D15" s="64">
        <v>5</v>
      </c>
      <c r="E15" s="49">
        <f t="shared" si="0"/>
        <v>1</v>
      </c>
      <c r="F15" s="65">
        <v>100000</v>
      </c>
      <c r="G15" s="65">
        <v>91000</v>
      </c>
      <c r="H15" s="68">
        <f t="shared" si="1"/>
        <v>0.91</v>
      </c>
      <c r="I15" s="66">
        <f t="shared" si="3"/>
        <v>9000</v>
      </c>
      <c r="J15" s="49">
        <f t="shared" si="2"/>
        <v>1.0989010989010988</v>
      </c>
      <c r="K15" s="64">
        <f>1+1+1+1+1</f>
        <v>5</v>
      </c>
      <c r="L15" s="64">
        <v>5</v>
      </c>
      <c r="M15" s="49">
        <f t="shared" si="4"/>
        <v>1</v>
      </c>
      <c r="N15" s="49">
        <f t="shared" si="5"/>
        <v>1.0989010989010988</v>
      </c>
      <c r="O15" s="50" t="s">
        <v>74</v>
      </c>
    </row>
    <row r="16" spans="1:15" ht="25.5">
      <c r="A16" s="62">
        <v>7</v>
      </c>
      <c r="B16" s="63" t="s">
        <v>8</v>
      </c>
      <c r="C16" s="64">
        <v>2</v>
      </c>
      <c r="D16" s="64">
        <v>2</v>
      </c>
      <c r="E16" s="49">
        <f>D16/C16</f>
        <v>1</v>
      </c>
      <c r="F16" s="65">
        <v>100000</v>
      </c>
      <c r="G16" s="65">
        <v>100000</v>
      </c>
      <c r="H16" s="49">
        <f>G16/F16</f>
        <v>1</v>
      </c>
      <c r="I16" s="66">
        <f t="shared" si="3"/>
        <v>0</v>
      </c>
      <c r="J16" s="49">
        <f>E16/H16</f>
        <v>1</v>
      </c>
      <c r="K16" s="67">
        <f>1+1</f>
        <v>2</v>
      </c>
      <c r="L16" s="67">
        <v>2</v>
      </c>
      <c r="M16" s="49">
        <f>K16/L16</f>
        <v>1</v>
      </c>
      <c r="N16" s="49">
        <f>M16*J16</f>
        <v>1</v>
      </c>
      <c r="O16" s="50" t="s">
        <v>74</v>
      </c>
    </row>
    <row r="17" spans="1:15" ht="39" customHeight="1">
      <c r="A17" s="62">
        <v>8</v>
      </c>
      <c r="B17" s="63" t="s">
        <v>12</v>
      </c>
      <c r="C17" s="64">
        <v>3</v>
      </c>
      <c r="D17" s="64">
        <v>2</v>
      </c>
      <c r="E17" s="49">
        <f>D17/C17</f>
        <v>0.6666666666666666</v>
      </c>
      <c r="F17" s="65">
        <v>1349000</v>
      </c>
      <c r="G17" s="65">
        <v>1349000</v>
      </c>
      <c r="H17" s="49">
        <f>G17/F17</f>
        <v>1</v>
      </c>
      <c r="I17" s="66">
        <f t="shared" si="3"/>
        <v>0</v>
      </c>
      <c r="J17" s="49">
        <f>E17/H17</f>
        <v>0.6666666666666666</v>
      </c>
      <c r="K17" s="64">
        <f>0+1+1</f>
        <v>2</v>
      </c>
      <c r="L17" s="64">
        <v>3</v>
      </c>
      <c r="M17" s="49">
        <f>K17/L17</f>
        <v>0.6666666666666666</v>
      </c>
      <c r="N17" s="49">
        <f>M17*J17</f>
        <v>0.4444444444444444</v>
      </c>
      <c r="O17" s="54" t="s">
        <v>88</v>
      </c>
    </row>
    <row r="18" spans="1:15" ht="25.5">
      <c r="A18" s="62">
        <v>9</v>
      </c>
      <c r="B18" s="63" t="s">
        <v>15</v>
      </c>
      <c r="C18" s="64">
        <v>6</v>
      </c>
      <c r="D18" s="64">
        <v>6</v>
      </c>
      <c r="E18" s="49">
        <f>D18/C18</f>
        <v>1</v>
      </c>
      <c r="F18" s="64"/>
      <c r="G18" s="64"/>
      <c r="H18" s="68"/>
      <c r="I18" s="66"/>
      <c r="J18" s="49"/>
      <c r="K18" s="64">
        <f>1+1+1+1+1+1+1+1</f>
        <v>8</v>
      </c>
      <c r="L18" s="64">
        <v>8</v>
      </c>
      <c r="M18" s="49">
        <f>K18/L18</f>
        <v>1</v>
      </c>
      <c r="N18" s="49">
        <f>E18*M18</f>
        <v>1</v>
      </c>
      <c r="O18" s="50" t="s">
        <v>74</v>
      </c>
    </row>
    <row r="19" spans="1:15" ht="38.25">
      <c r="A19" s="62">
        <v>10</v>
      </c>
      <c r="B19" s="70" t="s">
        <v>68</v>
      </c>
      <c r="C19" s="64">
        <v>1</v>
      </c>
      <c r="D19" s="64">
        <v>1</v>
      </c>
      <c r="E19" s="49">
        <f>D19/C19</f>
        <v>1</v>
      </c>
      <c r="F19" s="92">
        <v>7796723.35</v>
      </c>
      <c r="G19" s="92">
        <v>7788987.35</v>
      </c>
      <c r="H19" s="68">
        <f>G19/F19</f>
        <v>0.9990077883166139</v>
      </c>
      <c r="I19" s="66">
        <f t="shared" si="3"/>
        <v>7736</v>
      </c>
      <c r="J19" s="49">
        <f>E19/H19</f>
        <v>1.0009931971451975</v>
      </c>
      <c r="K19" s="64">
        <f>1+1+1+1</f>
        <v>4</v>
      </c>
      <c r="L19" s="64">
        <v>4</v>
      </c>
      <c r="M19" s="49">
        <f>K19/L19</f>
        <v>1</v>
      </c>
      <c r="N19" s="49">
        <f>M19*J19</f>
        <v>1.0009931971451975</v>
      </c>
      <c r="O19" s="50" t="s">
        <v>74</v>
      </c>
    </row>
    <row r="20" spans="1:15" ht="51">
      <c r="A20" s="62">
        <v>11</v>
      </c>
      <c r="B20" s="63" t="s">
        <v>18</v>
      </c>
      <c r="C20" s="64">
        <v>16</v>
      </c>
      <c r="D20" s="64">
        <v>15</v>
      </c>
      <c r="E20" s="49">
        <f t="shared" si="0"/>
        <v>0.9375</v>
      </c>
      <c r="F20" s="64"/>
      <c r="G20" s="64"/>
      <c r="H20" s="49"/>
      <c r="I20" s="66"/>
      <c r="J20" s="49"/>
      <c r="K20" s="64">
        <f>1+1+1+0.5+1+1+1+1+1+1+1+1+1+1+1+1+1</f>
        <v>16.5</v>
      </c>
      <c r="L20" s="64">
        <v>17</v>
      </c>
      <c r="M20" s="49">
        <f t="shared" si="4"/>
        <v>0.9705882352941176</v>
      </c>
      <c r="N20" s="49">
        <f>E20*M20</f>
        <v>0.9099264705882353</v>
      </c>
      <c r="O20" s="50" t="s">
        <v>74</v>
      </c>
    </row>
    <row r="21" spans="1:15" ht="38.25">
      <c r="A21" s="62">
        <v>12</v>
      </c>
      <c r="B21" s="71" t="s">
        <v>14</v>
      </c>
      <c r="C21" s="72">
        <v>24</v>
      </c>
      <c r="D21" s="72">
        <v>22</v>
      </c>
      <c r="E21" s="96">
        <f t="shared" si="0"/>
        <v>0.9166666666666666</v>
      </c>
      <c r="F21" s="72"/>
      <c r="G21" s="72"/>
      <c r="H21" s="49"/>
      <c r="I21" s="66"/>
      <c r="J21" s="49"/>
      <c r="K21" s="42">
        <f>1+1+0.931+1+0.821+0.97+1+1</f>
        <v>7.7219999999999995</v>
      </c>
      <c r="L21" s="64">
        <v>8</v>
      </c>
      <c r="M21" s="49">
        <f t="shared" si="4"/>
        <v>0.9652499999999999</v>
      </c>
      <c r="N21" s="49">
        <f>E21*M21</f>
        <v>0.8848124999999999</v>
      </c>
      <c r="O21" s="50" t="s">
        <v>75</v>
      </c>
    </row>
    <row r="22" spans="1:15" ht="15">
      <c r="A22" s="62">
        <v>13</v>
      </c>
      <c r="B22" s="63" t="s">
        <v>19</v>
      </c>
      <c r="C22" s="64">
        <v>3</v>
      </c>
      <c r="D22" s="64">
        <v>3</v>
      </c>
      <c r="E22" s="49">
        <f>D22/C22</f>
        <v>1</v>
      </c>
      <c r="F22" s="64">
        <v>282500</v>
      </c>
      <c r="G22" s="64">
        <v>276999.98</v>
      </c>
      <c r="H22" s="49">
        <f>G22/F22</f>
        <v>0.9805309026548672</v>
      </c>
      <c r="I22" s="66">
        <f t="shared" si="3"/>
        <v>5500.020000000019</v>
      </c>
      <c r="J22" s="49">
        <f>E22/H22</f>
        <v>1.0198556693036585</v>
      </c>
      <c r="K22" s="64">
        <f>1+1+1+1+1+1+1+1+1+1+1</f>
        <v>11</v>
      </c>
      <c r="L22" s="64">
        <v>11</v>
      </c>
      <c r="M22" s="49">
        <f>K22/L22</f>
        <v>1</v>
      </c>
      <c r="N22" s="49">
        <f t="shared" si="5"/>
        <v>1.0198556693036585</v>
      </c>
      <c r="O22" s="50" t="s">
        <v>74</v>
      </c>
    </row>
    <row r="23" spans="1:15" ht="25.5">
      <c r="A23" s="62">
        <v>14</v>
      </c>
      <c r="B23" s="63" t="s">
        <v>20</v>
      </c>
      <c r="C23" s="64">
        <v>6</v>
      </c>
      <c r="D23" s="64">
        <v>4</v>
      </c>
      <c r="E23" s="49">
        <f>D23/C23</f>
        <v>0.6666666666666666</v>
      </c>
      <c r="F23" s="64">
        <v>16000</v>
      </c>
      <c r="G23" s="64">
        <v>15062.69</v>
      </c>
      <c r="H23" s="49">
        <f>G23/F23</f>
        <v>0.941418125</v>
      </c>
      <c r="I23" s="66">
        <f t="shared" si="3"/>
        <v>937.3099999999995</v>
      </c>
      <c r="J23" s="49">
        <f aca="true" t="shared" si="6" ref="J23:J48">E23/H23</f>
        <v>0.7081515099007326</v>
      </c>
      <c r="K23" s="73">
        <v>4.5</v>
      </c>
      <c r="L23" s="64">
        <v>6</v>
      </c>
      <c r="M23" s="49">
        <f aca="true" t="shared" si="7" ref="M23:M48">K23/L23</f>
        <v>0.75</v>
      </c>
      <c r="N23" s="49">
        <f t="shared" si="5"/>
        <v>0.5311136324255494</v>
      </c>
      <c r="O23" s="54" t="s">
        <v>76</v>
      </c>
    </row>
    <row r="24" spans="1:15" ht="39" thickBot="1">
      <c r="A24" s="56">
        <v>15</v>
      </c>
      <c r="B24" s="57" t="s">
        <v>9</v>
      </c>
      <c r="C24" s="58">
        <v>6</v>
      </c>
      <c r="D24" s="58">
        <v>6</v>
      </c>
      <c r="E24" s="60">
        <f>D24/C24</f>
        <v>1</v>
      </c>
      <c r="F24" s="93">
        <v>800000</v>
      </c>
      <c r="G24" s="93">
        <v>800000</v>
      </c>
      <c r="H24" s="60">
        <f>G24/F24</f>
        <v>1</v>
      </c>
      <c r="I24" s="61">
        <f t="shared" si="3"/>
        <v>0</v>
      </c>
      <c r="J24" s="60">
        <f>E24/H24</f>
        <v>1</v>
      </c>
      <c r="K24" s="74">
        <f>1+1+1+1+1+1</f>
        <v>6</v>
      </c>
      <c r="L24" s="74">
        <v>6</v>
      </c>
      <c r="M24" s="60">
        <f>K24/L24</f>
        <v>1</v>
      </c>
      <c r="N24" s="60">
        <f>M24*J24</f>
        <v>1</v>
      </c>
      <c r="O24" s="55" t="s">
        <v>74</v>
      </c>
    </row>
    <row r="25" spans="1:15" ht="15">
      <c r="A25" s="31"/>
      <c r="B25" s="29" t="s">
        <v>37</v>
      </c>
      <c r="C25" s="39">
        <f>SUM(C26:C27)</f>
        <v>81</v>
      </c>
      <c r="D25" s="39">
        <f>SUM(D26:D27)</f>
        <v>81</v>
      </c>
      <c r="E25" s="27">
        <f>D25/C25</f>
        <v>1</v>
      </c>
      <c r="F25" s="29">
        <f>SUM(F26:F27)</f>
        <v>616594883.31</v>
      </c>
      <c r="G25" s="29">
        <f>SUM(G26:G27)</f>
        <v>613076874.52</v>
      </c>
      <c r="H25" s="27">
        <f>G25/F25</f>
        <v>0.9942944567247872</v>
      </c>
      <c r="I25" s="28">
        <f t="shared" si="3"/>
        <v>3518008.789999962</v>
      </c>
      <c r="J25" s="27">
        <f t="shared" si="6"/>
        <v>1.0057382832989001</v>
      </c>
      <c r="K25" s="29">
        <f>SUM(K26:K27)</f>
        <v>31.35</v>
      </c>
      <c r="L25" s="30">
        <f>SUM(L26:L27)</f>
        <v>32</v>
      </c>
      <c r="M25" s="27">
        <f>K25/L25</f>
        <v>0.9796875</v>
      </c>
      <c r="N25" s="27">
        <f>M25*J25</f>
        <v>0.9853092244193913</v>
      </c>
      <c r="O25" s="41"/>
    </row>
    <row r="26" spans="1:15" ht="25.5">
      <c r="A26" s="62" t="s">
        <v>21</v>
      </c>
      <c r="B26" s="63" t="s">
        <v>38</v>
      </c>
      <c r="C26" s="64">
        <v>62</v>
      </c>
      <c r="D26" s="64">
        <v>62</v>
      </c>
      <c r="E26" s="49">
        <f aca="true" t="shared" si="8" ref="E26:E50">D26/C26</f>
        <v>1</v>
      </c>
      <c r="F26" s="75">
        <v>362139739.31</v>
      </c>
      <c r="G26" s="75">
        <v>361156730.52</v>
      </c>
      <c r="H26" s="49">
        <f aca="true" t="shared" si="9" ref="H26:H50">G26/F26</f>
        <v>0.9972855539359669</v>
      </c>
      <c r="I26" s="66">
        <f t="shared" si="3"/>
        <v>983008.7900000215</v>
      </c>
      <c r="J26" s="49">
        <f t="shared" si="6"/>
        <v>1.002721834336535</v>
      </c>
      <c r="K26" s="42">
        <f>1+1+1+1+1+1+0.973+6+0.41+9</f>
        <v>22.383</v>
      </c>
      <c r="L26" s="64">
        <v>23</v>
      </c>
      <c r="M26" s="49">
        <f t="shared" si="7"/>
        <v>0.9731739130434782</v>
      </c>
      <c r="N26" s="49">
        <f t="shared" si="5"/>
        <v>0.9758227312154201</v>
      </c>
      <c r="O26" s="50" t="s">
        <v>74</v>
      </c>
    </row>
    <row r="27" spans="1:15" ht="27" customHeight="1" thickBot="1">
      <c r="A27" s="56" t="s">
        <v>22</v>
      </c>
      <c r="B27" s="57" t="s">
        <v>39</v>
      </c>
      <c r="C27" s="58">
        <f>6+4+4+4+1</f>
        <v>19</v>
      </c>
      <c r="D27" s="58">
        <v>19</v>
      </c>
      <c r="E27" s="60">
        <f t="shared" si="8"/>
        <v>1</v>
      </c>
      <c r="F27" s="76">
        <v>254455144</v>
      </c>
      <c r="G27" s="77">
        <v>251920144</v>
      </c>
      <c r="H27" s="60">
        <f t="shared" si="9"/>
        <v>0.990037536832032</v>
      </c>
      <c r="I27" s="61">
        <f t="shared" si="3"/>
        <v>2535000</v>
      </c>
      <c r="J27" s="60">
        <f t="shared" si="6"/>
        <v>1.0100627125713297</v>
      </c>
      <c r="K27" s="59">
        <f>0.967+8</f>
        <v>8.967</v>
      </c>
      <c r="L27" s="58">
        <v>9</v>
      </c>
      <c r="M27" s="60">
        <f t="shared" si="7"/>
        <v>0.9963333333333334</v>
      </c>
      <c r="N27" s="60">
        <f t="shared" si="5"/>
        <v>1.0063591492919015</v>
      </c>
      <c r="O27" s="55" t="s">
        <v>74</v>
      </c>
    </row>
    <row r="28" spans="1:15" ht="15">
      <c r="A28" s="31"/>
      <c r="B28" s="78" t="s">
        <v>80</v>
      </c>
      <c r="C28" s="33">
        <f>SUM(C29:C32)</f>
        <v>22</v>
      </c>
      <c r="D28" s="33">
        <f>SUM(D29:D32)</f>
        <v>20</v>
      </c>
      <c r="E28" s="27">
        <f t="shared" si="8"/>
        <v>0.9090909090909091</v>
      </c>
      <c r="F28" s="35">
        <f>SUM(F29:F32)</f>
        <v>254667158.71</v>
      </c>
      <c r="G28" s="35">
        <f>SUM(G29:G32)</f>
        <v>253251082.84</v>
      </c>
      <c r="H28" s="27">
        <f t="shared" si="9"/>
        <v>0.9944395034005443</v>
      </c>
      <c r="I28" s="28">
        <f t="shared" si="3"/>
        <v>1416075.8700000048</v>
      </c>
      <c r="J28" s="27">
        <f t="shared" si="6"/>
        <v>0.9141741714626372</v>
      </c>
      <c r="K28" s="34">
        <f>SUM(K29:K32)</f>
        <v>23.1401</v>
      </c>
      <c r="L28" s="33">
        <f>SUM(L29:L32)</f>
        <v>24</v>
      </c>
      <c r="M28" s="27">
        <f>K28/L28</f>
        <v>0.9641708333333333</v>
      </c>
      <c r="N28" s="27">
        <f>M28*J28</f>
        <v>0.8814200727109405</v>
      </c>
      <c r="O28" s="41"/>
    </row>
    <row r="29" spans="1:15" ht="38.25">
      <c r="A29" s="62" t="s">
        <v>23</v>
      </c>
      <c r="B29" s="63" t="s">
        <v>40</v>
      </c>
      <c r="C29" s="64">
        <v>5</v>
      </c>
      <c r="D29" s="64">
        <v>5</v>
      </c>
      <c r="E29" s="49">
        <f t="shared" si="8"/>
        <v>1</v>
      </c>
      <c r="F29" s="75">
        <v>162497223.46</v>
      </c>
      <c r="G29" s="94">
        <v>161693572.81</v>
      </c>
      <c r="H29" s="49">
        <f t="shared" si="9"/>
        <v>0.9950543730355009</v>
      </c>
      <c r="I29" s="66">
        <f t="shared" si="3"/>
        <v>803650.650000006</v>
      </c>
      <c r="J29" s="49">
        <f t="shared" si="6"/>
        <v>1.0049702077580063</v>
      </c>
      <c r="K29" s="42">
        <f>1+1+0.99+1+0.9951</f>
        <v>4.9851</v>
      </c>
      <c r="L29" s="64">
        <v>5</v>
      </c>
      <c r="M29" s="49">
        <f t="shared" si="7"/>
        <v>0.99702</v>
      </c>
      <c r="N29" s="49">
        <f t="shared" si="5"/>
        <v>1.0019753965388873</v>
      </c>
      <c r="O29" s="50" t="s">
        <v>74</v>
      </c>
    </row>
    <row r="30" spans="1:15" ht="15">
      <c r="A30" s="62" t="s">
        <v>24</v>
      </c>
      <c r="B30" s="63" t="s">
        <v>41</v>
      </c>
      <c r="C30" s="64">
        <v>8</v>
      </c>
      <c r="D30" s="64">
        <v>7</v>
      </c>
      <c r="E30" s="49">
        <f t="shared" si="8"/>
        <v>0.875</v>
      </c>
      <c r="F30" s="65">
        <v>90511371.25</v>
      </c>
      <c r="G30" s="65">
        <v>89917246.03</v>
      </c>
      <c r="H30" s="49">
        <f t="shared" si="9"/>
        <v>0.9934359052150589</v>
      </c>
      <c r="I30" s="66">
        <f t="shared" si="3"/>
        <v>594125.2199999988</v>
      </c>
      <c r="J30" s="49">
        <f t="shared" si="6"/>
        <v>0.8807815334705263</v>
      </c>
      <c r="K30" s="42">
        <f>1+1+1+1+1+1+0.28+1+1+1</f>
        <v>9.280000000000001</v>
      </c>
      <c r="L30" s="64">
        <v>10</v>
      </c>
      <c r="M30" s="49">
        <f t="shared" si="7"/>
        <v>0.9280000000000002</v>
      </c>
      <c r="N30" s="49">
        <f t="shared" si="5"/>
        <v>0.8173652630606486</v>
      </c>
      <c r="O30" s="50" t="s">
        <v>75</v>
      </c>
    </row>
    <row r="31" spans="1:15" ht="15">
      <c r="A31" s="62" t="s">
        <v>25</v>
      </c>
      <c r="B31" s="63" t="s">
        <v>42</v>
      </c>
      <c r="C31" s="64">
        <v>5</v>
      </c>
      <c r="D31" s="64">
        <v>5</v>
      </c>
      <c r="E31" s="49">
        <f t="shared" si="8"/>
        <v>1</v>
      </c>
      <c r="F31" s="65">
        <v>315022</v>
      </c>
      <c r="G31" s="65">
        <v>315022</v>
      </c>
      <c r="H31" s="49">
        <f t="shared" si="9"/>
        <v>1</v>
      </c>
      <c r="I31" s="66">
        <f t="shared" si="3"/>
        <v>0</v>
      </c>
      <c r="J31" s="49">
        <f t="shared" si="6"/>
        <v>1</v>
      </c>
      <c r="K31" s="42">
        <f>1+1+1+1+1</f>
        <v>5</v>
      </c>
      <c r="L31" s="64">
        <v>5</v>
      </c>
      <c r="M31" s="49">
        <f t="shared" si="7"/>
        <v>1</v>
      </c>
      <c r="N31" s="49">
        <f t="shared" si="5"/>
        <v>1</v>
      </c>
      <c r="O31" s="50" t="s">
        <v>74</v>
      </c>
    </row>
    <row r="32" spans="1:15" ht="27.75" customHeight="1" thickBot="1">
      <c r="A32" s="56" t="s">
        <v>26</v>
      </c>
      <c r="B32" s="57" t="s">
        <v>87</v>
      </c>
      <c r="C32" s="58">
        <v>4</v>
      </c>
      <c r="D32" s="58">
        <v>3</v>
      </c>
      <c r="E32" s="60">
        <f t="shared" si="8"/>
        <v>0.75</v>
      </c>
      <c r="F32" s="93">
        <v>1343542</v>
      </c>
      <c r="G32" s="93">
        <v>1325242</v>
      </c>
      <c r="H32" s="60">
        <f t="shared" si="9"/>
        <v>0.9863792869891674</v>
      </c>
      <c r="I32" s="61">
        <f t="shared" si="3"/>
        <v>18300</v>
      </c>
      <c r="J32" s="60">
        <f t="shared" si="6"/>
        <v>0.7603565990211599</v>
      </c>
      <c r="K32" s="59">
        <f>0.875+1+1+1</f>
        <v>3.875</v>
      </c>
      <c r="L32" s="58">
        <v>4</v>
      </c>
      <c r="M32" s="60">
        <f t="shared" si="7"/>
        <v>0.96875</v>
      </c>
      <c r="N32" s="60">
        <f t="shared" si="5"/>
        <v>0.7365954553017486</v>
      </c>
      <c r="O32" s="89" t="s">
        <v>76</v>
      </c>
    </row>
    <row r="33" spans="1:15" ht="15">
      <c r="A33" s="31"/>
      <c r="B33" s="29" t="s">
        <v>43</v>
      </c>
      <c r="C33" s="33">
        <f>C34+C35</f>
        <v>18</v>
      </c>
      <c r="D33" s="33">
        <f>D34+D35</f>
        <v>15</v>
      </c>
      <c r="E33" s="27">
        <f t="shared" si="8"/>
        <v>0.8333333333333334</v>
      </c>
      <c r="F33" s="34">
        <f>F34+F35</f>
        <v>81869340</v>
      </c>
      <c r="G33" s="34">
        <f>G34+G35</f>
        <v>81853274.56</v>
      </c>
      <c r="H33" s="27">
        <f t="shared" si="9"/>
        <v>0.999803767319976</v>
      </c>
      <c r="I33" s="28">
        <f t="shared" si="3"/>
        <v>16065.439999997616</v>
      </c>
      <c r="J33" s="27">
        <f t="shared" si="6"/>
        <v>0.8334968926623721</v>
      </c>
      <c r="K33" s="32">
        <f>0.875+1+1+1</f>
        <v>3.875</v>
      </c>
      <c r="L33" s="40">
        <v>5</v>
      </c>
      <c r="M33" s="27">
        <f>K33/L33</f>
        <v>0.775</v>
      </c>
      <c r="N33" s="27">
        <f>M33*J33</f>
        <v>0.6459600918133385</v>
      </c>
      <c r="O33" s="41"/>
    </row>
    <row r="34" spans="1:15" ht="25.5" customHeight="1">
      <c r="A34" s="62" t="s">
        <v>27</v>
      </c>
      <c r="B34" s="63" t="s">
        <v>44</v>
      </c>
      <c r="C34" s="64">
        <v>10</v>
      </c>
      <c r="D34" s="64">
        <v>8</v>
      </c>
      <c r="E34" s="49">
        <f t="shared" si="8"/>
        <v>0.8</v>
      </c>
      <c r="F34" s="65">
        <v>81583300</v>
      </c>
      <c r="G34" s="65">
        <v>81567234.56</v>
      </c>
      <c r="H34" s="49">
        <f t="shared" si="9"/>
        <v>0.9998030793066719</v>
      </c>
      <c r="I34" s="66">
        <f t="shared" si="3"/>
        <v>16065.439999997616</v>
      </c>
      <c r="J34" s="42">
        <f t="shared" si="6"/>
        <v>0.8001575675829802</v>
      </c>
      <c r="K34" s="42">
        <f>0.73+1+1+0.84+1+1+0.94+1+0.98+1+1+1</f>
        <v>11.49</v>
      </c>
      <c r="L34" s="64">
        <v>12</v>
      </c>
      <c r="M34" s="49">
        <f t="shared" si="7"/>
        <v>0.9575</v>
      </c>
      <c r="N34" s="49">
        <f t="shared" si="5"/>
        <v>0.7661508709607036</v>
      </c>
      <c r="O34" s="54" t="s">
        <v>76</v>
      </c>
    </row>
    <row r="35" spans="1:15" ht="27.75" customHeight="1" thickBot="1">
      <c r="A35" s="56" t="s">
        <v>28</v>
      </c>
      <c r="B35" s="57" t="s">
        <v>45</v>
      </c>
      <c r="C35" s="58">
        <v>8</v>
      </c>
      <c r="D35" s="58">
        <v>7</v>
      </c>
      <c r="E35" s="60">
        <f t="shared" si="8"/>
        <v>0.875</v>
      </c>
      <c r="F35" s="93">
        <v>286040</v>
      </c>
      <c r="G35" s="93">
        <v>286040</v>
      </c>
      <c r="H35" s="60">
        <f t="shared" si="9"/>
        <v>1</v>
      </c>
      <c r="I35" s="61">
        <f t="shared" si="3"/>
        <v>0</v>
      </c>
      <c r="J35" s="60">
        <f t="shared" si="6"/>
        <v>0.875</v>
      </c>
      <c r="K35" s="58">
        <v>4</v>
      </c>
      <c r="L35" s="58">
        <v>5</v>
      </c>
      <c r="M35" s="60">
        <f t="shared" si="7"/>
        <v>0.8</v>
      </c>
      <c r="N35" s="60">
        <f t="shared" si="5"/>
        <v>0.7000000000000001</v>
      </c>
      <c r="O35" s="89" t="s">
        <v>76</v>
      </c>
    </row>
    <row r="36" spans="1:15" ht="15">
      <c r="A36" s="31"/>
      <c r="B36" s="29" t="s">
        <v>46</v>
      </c>
      <c r="C36" s="30">
        <f>C37</f>
        <v>5</v>
      </c>
      <c r="D36" s="30">
        <f>D37</f>
        <v>5</v>
      </c>
      <c r="E36" s="27">
        <f>D36/C36</f>
        <v>1</v>
      </c>
      <c r="F36" s="40">
        <f>F37</f>
        <v>11706667.43</v>
      </c>
      <c r="G36" s="40">
        <f>G37</f>
        <v>11669271.63</v>
      </c>
      <c r="H36" s="27">
        <f t="shared" si="9"/>
        <v>0.9968055981581773</v>
      </c>
      <c r="I36" s="28">
        <f t="shared" si="3"/>
        <v>37395.79999999888</v>
      </c>
      <c r="J36" s="27">
        <f t="shared" si="6"/>
        <v>1.0032046387457345</v>
      </c>
      <c r="K36" s="30">
        <f>K37</f>
        <v>7</v>
      </c>
      <c r="L36" s="30">
        <f>L37</f>
        <v>7</v>
      </c>
      <c r="M36" s="27">
        <f>K36/L36</f>
        <v>1</v>
      </c>
      <c r="N36" s="27">
        <f>M36*J36</f>
        <v>1.0032046387457345</v>
      </c>
      <c r="O36" s="41"/>
    </row>
    <row r="37" spans="1:15" ht="26.25" thickBot="1">
      <c r="A37" s="79" t="s">
        <v>29</v>
      </c>
      <c r="B37" s="80" t="s">
        <v>84</v>
      </c>
      <c r="C37" s="81">
        <v>5</v>
      </c>
      <c r="D37" s="81">
        <v>5</v>
      </c>
      <c r="E37" s="43">
        <f t="shared" si="8"/>
        <v>1</v>
      </c>
      <c r="F37" s="95">
        <v>11706667.43</v>
      </c>
      <c r="G37" s="95">
        <v>11669271.63</v>
      </c>
      <c r="H37" s="43">
        <f t="shared" si="9"/>
        <v>0.9968055981581773</v>
      </c>
      <c r="I37" s="82">
        <f t="shared" si="3"/>
        <v>37395.79999999888</v>
      </c>
      <c r="J37" s="43">
        <f t="shared" si="6"/>
        <v>1.0032046387457345</v>
      </c>
      <c r="K37" s="81">
        <f>1+1+1+1+1+1+1</f>
        <v>7</v>
      </c>
      <c r="L37" s="81">
        <f>7</f>
        <v>7</v>
      </c>
      <c r="M37" s="43">
        <f t="shared" si="7"/>
        <v>1</v>
      </c>
      <c r="N37" s="43">
        <f t="shared" si="5"/>
        <v>1.0032046387457345</v>
      </c>
      <c r="O37" s="51" t="s">
        <v>74</v>
      </c>
    </row>
    <row r="38" spans="1:15" ht="14.25" customHeight="1">
      <c r="A38" s="44"/>
      <c r="B38" s="45" t="s">
        <v>47</v>
      </c>
      <c r="C38" s="46">
        <f>C39+C40</f>
        <v>10</v>
      </c>
      <c r="D38" s="47">
        <f>D39+D40</f>
        <v>10</v>
      </c>
      <c r="E38" s="37">
        <f>D38/C38</f>
        <v>1</v>
      </c>
      <c r="F38" s="47">
        <f>SUM(F39:F40)</f>
        <v>28095372.51</v>
      </c>
      <c r="G38" s="47">
        <f>SUM(G39:G40)</f>
        <v>27135406.400000002</v>
      </c>
      <c r="H38" s="37">
        <f t="shared" si="9"/>
        <v>0.9658318781977951</v>
      </c>
      <c r="I38" s="38">
        <f t="shared" si="3"/>
        <v>959966.1099999994</v>
      </c>
      <c r="J38" s="37">
        <f t="shared" si="6"/>
        <v>1.0353768834654342</v>
      </c>
      <c r="K38" s="47">
        <f>K39+K40</f>
        <v>13.39</v>
      </c>
      <c r="L38" s="47">
        <f>L39+L40</f>
        <v>14</v>
      </c>
      <c r="M38" s="37">
        <f>K38/L38</f>
        <v>0.9564285714285715</v>
      </c>
      <c r="N38" s="37">
        <f>M38*J38</f>
        <v>0.9902640335430118</v>
      </c>
      <c r="O38" s="52"/>
    </row>
    <row r="39" spans="1:15" ht="29.25" customHeight="1">
      <c r="A39" s="62" t="s">
        <v>30</v>
      </c>
      <c r="B39" s="63" t="s">
        <v>83</v>
      </c>
      <c r="C39" s="64">
        <v>2</v>
      </c>
      <c r="D39" s="64">
        <v>2</v>
      </c>
      <c r="E39" s="49">
        <f t="shared" si="8"/>
        <v>1</v>
      </c>
      <c r="F39" s="65">
        <v>5070172.8</v>
      </c>
      <c r="G39" s="65">
        <v>5070172.8</v>
      </c>
      <c r="H39" s="49">
        <f t="shared" si="9"/>
        <v>1</v>
      </c>
      <c r="I39" s="66">
        <f t="shared" si="3"/>
        <v>0</v>
      </c>
      <c r="J39" s="49">
        <f t="shared" si="6"/>
        <v>1</v>
      </c>
      <c r="K39" s="64">
        <f>1+1</f>
        <v>2</v>
      </c>
      <c r="L39" s="64">
        <v>2</v>
      </c>
      <c r="M39" s="49">
        <f t="shared" si="7"/>
        <v>1</v>
      </c>
      <c r="N39" s="49">
        <f t="shared" si="5"/>
        <v>1</v>
      </c>
      <c r="O39" s="50" t="s">
        <v>74</v>
      </c>
    </row>
    <row r="40" spans="1:15" ht="26.25" thickBot="1">
      <c r="A40" s="79" t="s">
        <v>31</v>
      </c>
      <c r="B40" s="80" t="s">
        <v>82</v>
      </c>
      <c r="C40" s="81">
        <v>8</v>
      </c>
      <c r="D40" s="81">
        <v>8</v>
      </c>
      <c r="E40" s="43">
        <f t="shared" si="8"/>
        <v>1</v>
      </c>
      <c r="F40" s="95">
        <v>23025199.71</v>
      </c>
      <c r="G40" s="95">
        <v>22065233.6</v>
      </c>
      <c r="H40" s="43">
        <f t="shared" si="9"/>
        <v>0.9583080224236631</v>
      </c>
      <c r="I40" s="82">
        <f t="shared" si="3"/>
        <v>959966.1099999994</v>
      </c>
      <c r="J40" s="43">
        <f t="shared" si="6"/>
        <v>1.0435058213025217</v>
      </c>
      <c r="K40" s="81">
        <f>1+1+0.69+0.7+1+1+1+1+1+1+1+1</f>
        <v>11.39</v>
      </c>
      <c r="L40" s="81">
        <v>12</v>
      </c>
      <c r="M40" s="43">
        <f t="shared" si="7"/>
        <v>0.9491666666666667</v>
      </c>
      <c r="N40" s="43">
        <f t="shared" si="5"/>
        <v>0.9904609420529769</v>
      </c>
      <c r="O40" s="51" t="s">
        <v>74</v>
      </c>
    </row>
    <row r="41" spans="1:15" ht="14.25" customHeight="1">
      <c r="A41" s="44"/>
      <c r="B41" s="45" t="s">
        <v>48</v>
      </c>
      <c r="C41" s="46">
        <f>SUM(C42:C46)</f>
        <v>28</v>
      </c>
      <c r="D41" s="46">
        <f>SUM(D42:D46)</f>
        <v>28</v>
      </c>
      <c r="E41" s="37">
        <f>D41/C41</f>
        <v>1</v>
      </c>
      <c r="F41" s="47">
        <f>SUM(F42:F46)</f>
        <v>126684183.50000001</v>
      </c>
      <c r="G41" s="47">
        <f>SUM(G42:G46)</f>
        <v>122969601.39999999</v>
      </c>
      <c r="H41" s="37">
        <f t="shared" si="9"/>
        <v>0.9706784067483845</v>
      </c>
      <c r="I41" s="38">
        <f t="shared" si="3"/>
        <v>3714582.100000024</v>
      </c>
      <c r="J41" s="37">
        <f t="shared" si="6"/>
        <v>1.0302073200019337</v>
      </c>
      <c r="K41" s="46">
        <f>SUM(K42:K46)</f>
        <v>45</v>
      </c>
      <c r="L41" s="46">
        <f>SUM(L42:L46)</f>
        <v>45</v>
      </c>
      <c r="M41" s="37">
        <f>K41/L41</f>
        <v>1</v>
      </c>
      <c r="N41" s="37">
        <f>M41*J41</f>
        <v>1.0302073200019337</v>
      </c>
      <c r="O41" s="52"/>
    </row>
    <row r="42" spans="1:15" ht="14.25" customHeight="1">
      <c r="A42" s="62" t="s">
        <v>32</v>
      </c>
      <c r="B42" s="63" t="s">
        <v>86</v>
      </c>
      <c r="C42" s="64">
        <v>6</v>
      </c>
      <c r="D42" s="64">
        <v>6</v>
      </c>
      <c r="E42" s="49">
        <f t="shared" si="8"/>
        <v>1</v>
      </c>
      <c r="F42" s="65">
        <v>34062630.42</v>
      </c>
      <c r="G42" s="65">
        <v>33790594.31</v>
      </c>
      <c r="H42" s="49">
        <f t="shared" si="9"/>
        <v>0.9920136493674818</v>
      </c>
      <c r="I42" s="66">
        <f t="shared" si="3"/>
        <v>272036.1099999994</v>
      </c>
      <c r="J42" s="49">
        <f t="shared" si="6"/>
        <v>1.0080506459136025</v>
      </c>
      <c r="K42" s="64">
        <v>17</v>
      </c>
      <c r="L42" s="64">
        <v>17</v>
      </c>
      <c r="M42" s="49">
        <f t="shared" si="7"/>
        <v>1</v>
      </c>
      <c r="N42" s="49">
        <f t="shared" si="5"/>
        <v>1.0080506459136025</v>
      </c>
      <c r="O42" s="50" t="s">
        <v>74</v>
      </c>
    </row>
    <row r="43" spans="1:15" ht="39" customHeight="1">
      <c r="A43" s="62" t="s">
        <v>33</v>
      </c>
      <c r="B43" s="63" t="s">
        <v>49</v>
      </c>
      <c r="C43" s="64">
        <v>12</v>
      </c>
      <c r="D43" s="64">
        <v>12</v>
      </c>
      <c r="E43" s="49">
        <f t="shared" si="8"/>
        <v>1</v>
      </c>
      <c r="F43" s="65">
        <v>31713518.78</v>
      </c>
      <c r="G43" s="65">
        <v>31694969.52</v>
      </c>
      <c r="H43" s="49">
        <f t="shared" si="9"/>
        <v>0.9994150992789959</v>
      </c>
      <c r="I43" s="66">
        <f t="shared" si="3"/>
        <v>18549.26000000164</v>
      </c>
      <c r="J43" s="49">
        <f t="shared" si="6"/>
        <v>1.0005852430300743</v>
      </c>
      <c r="K43" s="64">
        <v>13</v>
      </c>
      <c r="L43" s="64">
        <v>13</v>
      </c>
      <c r="M43" s="49">
        <f t="shared" si="7"/>
        <v>1</v>
      </c>
      <c r="N43" s="49">
        <f t="shared" si="5"/>
        <v>1.0005852430300743</v>
      </c>
      <c r="O43" s="50" t="s">
        <v>74</v>
      </c>
    </row>
    <row r="44" spans="1:15" ht="28.5" customHeight="1">
      <c r="A44" s="62" t="s">
        <v>34</v>
      </c>
      <c r="B44" s="63" t="s">
        <v>85</v>
      </c>
      <c r="C44" s="64">
        <v>6</v>
      </c>
      <c r="D44" s="64">
        <v>6</v>
      </c>
      <c r="E44" s="49">
        <f t="shared" si="8"/>
        <v>1</v>
      </c>
      <c r="F44" s="65">
        <v>41332571.35</v>
      </c>
      <c r="G44" s="65">
        <v>37912135.68</v>
      </c>
      <c r="H44" s="49">
        <f t="shared" si="9"/>
        <v>0.9172459985362125</v>
      </c>
      <c r="I44" s="66">
        <f t="shared" si="3"/>
        <v>3420435.670000002</v>
      </c>
      <c r="J44" s="49">
        <f t="shared" si="6"/>
        <v>1.0902200735635266</v>
      </c>
      <c r="K44" s="64">
        <v>6</v>
      </c>
      <c r="L44" s="64">
        <v>6</v>
      </c>
      <c r="M44" s="49">
        <f t="shared" si="7"/>
        <v>1</v>
      </c>
      <c r="N44" s="49">
        <f t="shared" si="5"/>
        <v>1.0902200735635266</v>
      </c>
      <c r="O44" s="50" t="s">
        <v>74</v>
      </c>
    </row>
    <row r="45" spans="1:15" ht="51" customHeight="1">
      <c r="A45" s="62" t="s">
        <v>35</v>
      </c>
      <c r="B45" s="63" t="s">
        <v>50</v>
      </c>
      <c r="C45" s="64">
        <v>1</v>
      </c>
      <c r="D45" s="64">
        <v>1</v>
      </c>
      <c r="E45" s="49">
        <f t="shared" si="8"/>
        <v>1</v>
      </c>
      <c r="F45" s="65">
        <v>5790926.95</v>
      </c>
      <c r="G45" s="65">
        <v>5790926.95</v>
      </c>
      <c r="H45" s="49">
        <f t="shared" si="9"/>
        <v>1</v>
      </c>
      <c r="I45" s="66">
        <f t="shared" si="3"/>
        <v>0</v>
      </c>
      <c r="J45" s="49">
        <f t="shared" si="6"/>
        <v>1</v>
      </c>
      <c r="K45" s="64">
        <v>1</v>
      </c>
      <c r="L45" s="64">
        <v>1</v>
      </c>
      <c r="M45" s="49">
        <f t="shared" si="7"/>
        <v>1</v>
      </c>
      <c r="N45" s="49">
        <f t="shared" si="5"/>
        <v>1</v>
      </c>
      <c r="O45" s="50" t="s">
        <v>74</v>
      </c>
    </row>
    <row r="46" spans="1:15" ht="26.25" customHeight="1" thickBot="1">
      <c r="A46" s="79" t="s">
        <v>36</v>
      </c>
      <c r="B46" s="80" t="s">
        <v>51</v>
      </c>
      <c r="C46" s="81">
        <v>3</v>
      </c>
      <c r="D46" s="81">
        <v>3</v>
      </c>
      <c r="E46" s="43">
        <f t="shared" si="8"/>
        <v>1</v>
      </c>
      <c r="F46" s="95">
        <v>13784536</v>
      </c>
      <c r="G46" s="95">
        <v>13780974.94</v>
      </c>
      <c r="H46" s="43">
        <f t="shared" si="9"/>
        <v>0.999741662686361</v>
      </c>
      <c r="I46" s="82">
        <f t="shared" si="3"/>
        <v>3561.0600000005215</v>
      </c>
      <c r="J46" s="43">
        <f t="shared" si="6"/>
        <v>1.000258404069052</v>
      </c>
      <c r="K46" s="81">
        <v>8</v>
      </c>
      <c r="L46" s="81">
        <v>8</v>
      </c>
      <c r="M46" s="43">
        <f t="shared" si="7"/>
        <v>1</v>
      </c>
      <c r="N46" s="43">
        <f t="shared" si="5"/>
        <v>1.000258404069052</v>
      </c>
      <c r="O46" s="51" t="s">
        <v>74</v>
      </c>
    </row>
    <row r="47" spans="1:15" ht="15" customHeight="1">
      <c r="A47" s="44"/>
      <c r="B47" s="45" t="s">
        <v>52</v>
      </c>
      <c r="C47" s="46">
        <f>C48</f>
        <v>6</v>
      </c>
      <c r="D47" s="47">
        <f>D48</f>
        <v>6</v>
      </c>
      <c r="E47" s="37">
        <f>D47/C47</f>
        <v>1</v>
      </c>
      <c r="F47" s="48">
        <f>F48</f>
        <v>84626616</v>
      </c>
      <c r="G47" s="47">
        <f>G48</f>
        <v>84626383.39</v>
      </c>
      <c r="H47" s="37">
        <f t="shared" si="9"/>
        <v>0.9999972513375698</v>
      </c>
      <c r="I47" s="38">
        <f t="shared" si="3"/>
        <v>232.60999999940395</v>
      </c>
      <c r="J47" s="37">
        <f t="shared" si="6"/>
        <v>1.0000027486699854</v>
      </c>
      <c r="K47" s="46">
        <f>K48</f>
        <v>14.51</v>
      </c>
      <c r="L47" s="46">
        <f>L48</f>
        <v>15</v>
      </c>
      <c r="M47" s="37">
        <f>K47/L47</f>
        <v>0.9673333333333333</v>
      </c>
      <c r="N47" s="37">
        <f>M47*J47</f>
        <v>0.9673359922134325</v>
      </c>
      <c r="O47" s="52"/>
    </row>
    <row r="48" spans="1:15" ht="39" thickBot="1">
      <c r="A48" s="79" t="s">
        <v>72</v>
      </c>
      <c r="B48" s="80" t="s">
        <v>53</v>
      </c>
      <c r="C48" s="81">
        <v>6</v>
      </c>
      <c r="D48" s="81">
        <f>6</f>
        <v>6</v>
      </c>
      <c r="E48" s="43">
        <f t="shared" si="8"/>
        <v>1</v>
      </c>
      <c r="F48" s="95">
        <v>84626616</v>
      </c>
      <c r="G48" s="95">
        <v>84626383.39</v>
      </c>
      <c r="H48" s="43">
        <f t="shared" si="9"/>
        <v>0.9999972513375698</v>
      </c>
      <c r="I48" s="82">
        <f t="shared" si="3"/>
        <v>232.60999999940395</v>
      </c>
      <c r="J48" s="43">
        <f t="shared" si="6"/>
        <v>1.0000027486699854</v>
      </c>
      <c r="K48" s="81">
        <f>1+0.98+1+1+0.97+1+0.73+0.92+1+0.91+1+1+1+1+1</f>
        <v>14.51</v>
      </c>
      <c r="L48" s="81">
        <v>15</v>
      </c>
      <c r="M48" s="43">
        <f t="shared" si="7"/>
        <v>0.9673333333333333</v>
      </c>
      <c r="N48" s="43">
        <f t="shared" si="5"/>
        <v>0.9673359922134325</v>
      </c>
      <c r="O48" s="51" t="s">
        <v>74</v>
      </c>
    </row>
    <row r="49" spans="1:15" ht="6.75" customHeight="1">
      <c r="A49" s="83"/>
      <c r="B49" s="83"/>
      <c r="C49" s="84"/>
      <c r="D49" s="84"/>
      <c r="E49" s="85"/>
      <c r="F49" s="84"/>
      <c r="G49" s="84"/>
      <c r="H49" s="85"/>
      <c r="I49" s="38"/>
      <c r="J49" s="85"/>
      <c r="K49" s="84"/>
      <c r="L49" s="84"/>
      <c r="M49" s="85"/>
      <c r="N49" s="85"/>
      <c r="O49" s="25"/>
    </row>
    <row r="50" spans="1:15" ht="15">
      <c r="A50" s="18"/>
      <c r="B50" s="18" t="s">
        <v>77</v>
      </c>
      <c r="C50" s="19">
        <f>C9+C25+C28+C33+C36+C38+C41+C47</f>
        <v>271</v>
      </c>
      <c r="D50" s="19">
        <f>D9+D25+D28+D33+D36+D38+D41+D47</f>
        <v>256</v>
      </c>
      <c r="E50" s="20">
        <f t="shared" si="8"/>
        <v>0.9446494464944649</v>
      </c>
      <c r="F50" s="19">
        <f>F9+F25+F28+F33+F36+F38+F41+F47</f>
        <v>1224018288</v>
      </c>
      <c r="G50" s="90">
        <f>G9+G25+G28+G33+G36+G38+G41+G47</f>
        <v>1214225788.5400002</v>
      </c>
      <c r="H50" s="20">
        <f t="shared" si="9"/>
        <v>0.9919997114781672</v>
      </c>
      <c r="I50" s="36">
        <f t="shared" si="3"/>
        <v>9792499.4599998</v>
      </c>
      <c r="J50" s="20">
        <f>((D50-D14-D18-D20-D21)/(C50-C14-C18-C20-C21))/H50</f>
        <v>0.9574314170741774</v>
      </c>
      <c r="K50" s="19">
        <f>K9+K25+K28+K33+K36+K38+K41+K47</f>
        <v>234.2731</v>
      </c>
      <c r="L50" s="19">
        <f>L9+L25+L28+L33+L36+L38+L41+L47</f>
        <v>244</v>
      </c>
      <c r="M50" s="20">
        <f>K50/L50</f>
        <v>0.9601356557377049</v>
      </c>
      <c r="N50" s="20">
        <f>M50*J50</f>
        <v>0.9192640414563954</v>
      </c>
      <c r="O50" s="53" t="s">
        <v>74</v>
      </c>
    </row>
    <row r="51" spans="1:14" ht="15">
      <c r="A51" s="86"/>
      <c r="B51" s="86"/>
      <c r="C51" s="87"/>
      <c r="D51" s="87"/>
      <c r="E51" s="87"/>
      <c r="F51" s="87"/>
      <c r="G51" s="87"/>
      <c r="H51" s="87"/>
      <c r="I51" s="87"/>
      <c r="J51" s="88"/>
      <c r="K51" s="87"/>
      <c r="L51" s="87"/>
      <c r="M51" s="87"/>
      <c r="N51" s="87"/>
    </row>
    <row r="52" spans="1:14" ht="15">
      <c r="A52" s="86"/>
      <c r="B52" s="86"/>
      <c r="C52" s="87"/>
      <c r="D52" s="87"/>
      <c r="E52" s="87"/>
      <c r="F52" s="87"/>
      <c r="G52" s="87"/>
      <c r="H52" s="87"/>
      <c r="I52" s="87"/>
      <c r="J52" s="88"/>
      <c r="K52" s="87"/>
      <c r="L52" s="87"/>
      <c r="M52" s="87"/>
      <c r="N52" s="87"/>
    </row>
    <row r="53" spans="1:14" ht="15">
      <c r="A53" s="86"/>
      <c r="B53" s="86"/>
      <c r="C53" s="87"/>
      <c r="D53" s="87"/>
      <c r="E53" s="87"/>
      <c r="F53" s="87"/>
      <c r="G53" s="87"/>
      <c r="H53" s="87"/>
      <c r="I53" s="87"/>
      <c r="J53" s="88"/>
      <c r="K53" s="87"/>
      <c r="L53" s="87"/>
      <c r="M53" s="87"/>
      <c r="N53" s="87"/>
    </row>
    <row r="54" spans="1:14" ht="15">
      <c r="A54" s="86"/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</row>
    <row r="55" spans="1:14" ht="15">
      <c r="A55" s="86"/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4" ht="15">
      <c r="A56" s="86"/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1:14" ht="15">
      <c r="A57" s="86"/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1:14" ht="15">
      <c r="A58" s="86"/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1:14" ht="15">
      <c r="A59" s="86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14" ht="15">
      <c r="A60" s="86"/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</row>
    <row r="61" spans="1:14" ht="15">
      <c r="A61" s="86"/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1:14" ht="15">
      <c r="A62" s="86"/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1:14" ht="15">
      <c r="A63" s="86"/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</row>
    <row r="64" spans="1:14" ht="15">
      <c r="A64" s="86"/>
      <c r="B64" s="8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</row>
    <row r="65" spans="1:14" ht="15">
      <c r="A65" s="86"/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</row>
    <row r="66" spans="1:14" ht="15">
      <c r="A66" s="86"/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</row>
    <row r="67" spans="1:14" ht="15">
      <c r="A67" s="86"/>
      <c r="B67" s="86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</row>
    <row r="68" spans="1:14" ht="15">
      <c r="A68" s="86"/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</row>
    <row r="69" spans="1:14" ht="15">
      <c r="A69" s="86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</row>
    <row r="70" spans="1:14" ht="15">
      <c r="A70" s="86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1:14" ht="15">
      <c r="A71" s="86"/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</row>
    <row r="72" spans="1:14" ht="15">
      <c r="A72" s="86"/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</row>
    <row r="73" spans="1:14" ht="15">
      <c r="A73" s="86"/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1:14" ht="15">
      <c r="A74" s="86"/>
      <c r="B74" s="86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spans="1:14" ht="15">
      <c r="A75" s="86"/>
      <c r="B75" s="86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</row>
    <row r="76" spans="1:14" ht="15">
      <c r="A76" s="86"/>
      <c r="B76" s="86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</row>
    <row r="77" spans="1:14" ht="15">
      <c r="A77" s="86"/>
      <c r="B77" s="86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</row>
    <row r="78" spans="1:14" ht="15">
      <c r="A78" s="86"/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</row>
    <row r="79" spans="1:14" ht="15">
      <c r="A79" s="86"/>
      <c r="B79" s="86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1:14" ht="15">
      <c r="A80" s="86"/>
      <c r="B80" s="86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1:14" ht="15">
      <c r="A81" s="86"/>
      <c r="B81" s="86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</row>
    <row r="82" spans="1:14" ht="15">
      <c r="A82" s="86"/>
      <c r="B82" s="86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</row>
    <row r="212" ht="15">
      <c r="M212" s="4"/>
    </row>
  </sheetData>
  <sheetProtection/>
  <mergeCells count="18">
    <mergeCell ref="J6:J7"/>
    <mergeCell ref="J4:J5"/>
    <mergeCell ref="C4:E4"/>
    <mergeCell ref="K4:M4"/>
    <mergeCell ref="N4:O4"/>
    <mergeCell ref="A2:O2"/>
    <mergeCell ref="O5:O7"/>
    <mergeCell ref="N6:N7"/>
    <mergeCell ref="B4:B5"/>
    <mergeCell ref="B6:B7"/>
    <mergeCell ref="A4:A7"/>
    <mergeCell ref="F4:I4"/>
    <mergeCell ref="F6:I6"/>
    <mergeCell ref="C6:E6"/>
    <mergeCell ref="K5:M5"/>
    <mergeCell ref="F5:H5"/>
    <mergeCell ref="C5:E5"/>
    <mergeCell ref="K6:M6"/>
  </mergeCells>
  <printOptions/>
  <pageMargins left="0.35433070866141736" right="0.35433070866141736" top="0.5511811023622047" bottom="0.35433070866141736" header="0.31496062992125984" footer="0.31496062992125984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KSR-1</dc:creator>
  <cp:keywords/>
  <dc:description/>
  <cp:lastModifiedBy>ksr-2</cp:lastModifiedBy>
  <cp:lastPrinted>2021-03-24T08:47:25Z</cp:lastPrinted>
  <dcterms:created xsi:type="dcterms:W3CDTF">2021-03-05T04:21:44Z</dcterms:created>
  <dcterms:modified xsi:type="dcterms:W3CDTF">2021-04-02T12:39:09Z</dcterms:modified>
  <cp:category/>
  <cp:version/>
  <cp:contentType/>
  <cp:contentStatus/>
</cp:coreProperties>
</file>